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Antenna" sheetId="1" r:id="rId1"/>
    <sheet name="Power and Resistance" sheetId="2" r:id="rId2"/>
    <sheet name="R=f(alfa)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<sst xmlns="http://schemas.openxmlformats.org/spreadsheetml/2006/main" count="63" uniqueCount="47">
  <si>
    <t>pF</t>
  </si>
  <si>
    <t>Ω</t>
  </si>
  <si>
    <t>kHz</t>
  </si>
  <si>
    <r>
      <t>P</t>
    </r>
    <r>
      <rPr>
        <b/>
        <vertAlign val="subscript"/>
        <sz val="18"/>
        <rFont val="Arial"/>
        <family val="2"/>
      </rPr>
      <t>TX</t>
    </r>
    <r>
      <rPr>
        <b/>
        <sz val="18"/>
        <rFont val="Arial"/>
        <family val="2"/>
      </rPr>
      <t xml:space="preserve"> =</t>
    </r>
  </si>
  <si>
    <t>W</t>
  </si>
  <si>
    <r>
      <t>C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</si>
  <si>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mH</t>
  </si>
  <si>
    <r>
      <t>I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</si>
  <si>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A</t>
  </si>
  <si>
    <r>
      <t>h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</si>
  <si>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m</t>
  </si>
  <si>
    <r>
      <t>η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 xml:space="preserve"> =</t>
    </r>
  </si>
  <si>
    <t>%</t>
  </si>
  <si>
    <r>
      <t>P</t>
    </r>
    <r>
      <rPr>
        <b/>
        <vertAlign val="subscript"/>
        <sz val="18"/>
        <rFont val="Arial"/>
        <family val="2"/>
      </rPr>
      <t>ERP</t>
    </r>
    <r>
      <rPr>
        <b/>
        <sz val="18"/>
        <rFont val="Arial"/>
        <family val="2"/>
      </rPr>
      <t xml:space="preserve"> =</t>
    </r>
  </si>
  <si>
    <t>λ =</t>
  </si>
  <si>
    <t>B =</t>
  </si>
  <si>
    <t>Berechnungen zum Errichten einer Langwellen-Vertikalantenne (TX-fähig)</t>
  </si>
  <si>
    <r>
      <t>f</t>
    </r>
    <r>
      <rPr>
        <b/>
        <vertAlign val="subscript"/>
        <sz val="18"/>
        <rFont val="Arial"/>
        <family val="2"/>
      </rPr>
      <t>res</t>
    </r>
    <r>
      <rPr>
        <b/>
        <sz val="18"/>
        <rFont val="Arial"/>
        <family val="2"/>
      </rPr>
      <t xml:space="preserve"> =</t>
    </r>
  </si>
  <si>
    <t>f/Hz</t>
  </si>
  <si>
    <t>X bei delta f</t>
  </si>
  <si>
    <t>Cres=</t>
  </si>
  <si>
    <t>Darstellung und Berechnung der Bandbreite der Antenne</t>
  </si>
  <si>
    <t>SWR</t>
  </si>
  <si>
    <t>R=</t>
  </si>
  <si>
    <t>Ohm</t>
  </si>
  <si>
    <t>kV</t>
  </si>
  <si>
    <r>
      <t>U</t>
    </r>
    <r>
      <rPr>
        <b/>
        <sz val="18"/>
        <rFont val="Arial"/>
        <family val="2"/>
      </rPr>
      <t>=</t>
    </r>
  </si>
  <si>
    <t>/15</t>
  </si>
  <si>
    <r>
      <t>I</t>
    </r>
    <r>
      <rPr>
        <b/>
        <vertAlign val="subscript"/>
        <sz val="18"/>
        <rFont val="Arial"/>
        <family val="2"/>
      </rPr>
      <t xml:space="preserve"> </t>
    </r>
    <r>
      <rPr>
        <b/>
        <sz val="18"/>
        <rFont val="Arial"/>
        <family val="2"/>
      </rPr>
      <t>=</t>
    </r>
  </si>
  <si>
    <r>
      <t>MB</t>
    </r>
    <r>
      <rPr>
        <b/>
        <sz val="18"/>
        <rFont val="Arial"/>
        <family val="2"/>
      </rPr>
      <t xml:space="preserve"> =</t>
    </r>
  </si>
  <si>
    <t>Berechnung der Sendeleistung und des Antennenwiderstands im resonanten Fall (Phasenmeter hat keinen Ausschlag). Ablesung an Tuning-Meter</t>
  </si>
  <si>
    <r>
      <t>P</t>
    </r>
    <r>
      <rPr>
        <b/>
        <vertAlign val="subscript"/>
        <sz val="18"/>
        <rFont val="Arial"/>
        <family val="2"/>
      </rPr>
      <t>Sender</t>
    </r>
    <r>
      <rPr>
        <b/>
        <sz val="18"/>
        <rFont val="Arial"/>
        <family val="2"/>
      </rPr>
      <t>=</t>
    </r>
  </si>
  <si>
    <r>
      <t>R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</si>
  <si>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r>
      <t>Q</t>
    </r>
    <r>
      <rPr>
        <b/>
        <sz val="18"/>
        <rFont val="Arial"/>
        <family val="2"/>
      </rPr>
      <t xml:space="preserve"> =</t>
    </r>
  </si>
  <si>
    <r>
      <t>P</t>
    </r>
    <r>
      <rPr>
        <b/>
        <vertAlign val="subscript"/>
        <sz val="18"/>
        <rFont val="Arial"/>
        <family val="2"/>
      </rPr>
      <t>EMRP</t>
    </r>
    <r>
      <rPr>
        <b/>
        <sz val="18"/>
        <rFont val="Arial"/>
        <family val="2"/>
      </rPr>
      <t xml:space="preserve"> =</t>
    </r>
  </si>
  <si>
    <t>Berechnung des Strahlungswiderstands in Abhängigkeit der Neigung (idealisiert)</t>
  </si>
  <si>
    <t>A=Neigungswinkel</t>
  </si>
  <si>
    <t>B= Strahlungswiderstand bei perfekter Erde und ohne Drahtverluste</t>
  </si>
  <si>
    <t>uW</t>
  </si>
  <si>
    <t>mW</t>
  </si>
  <si>
    <t>Input</t>
  </si>
  <si>
    <t>Results</t>
  </si>
  <si>
    <r>
      <t>R</t>
    </r>
    <r>
      <rPr>
        <b/>
        <vertAlign val="subscript"/>
        <sz val="18"/>
        <rFont val="Arial"/>
        <family val="2"/>
      </rPr>
      <t xml:space="preserve">Earth+radiation </t>
    </r>
    <r>
      <rPr>
        <b/>
        <sz val="18"/>
        <rFont val="Arial"/>
        <family val="2"/>
      </rPr>
      <t>=</t>
    </r>
  </si>
  <si>
    <r>
      <t>R</t>
    </r>
    <r>
      <rPr>
        <b/>
        <i/>
        <vertAlign val="subscript"/>
        <sz val="18"/>
        <rFont val="Arial"/>
        <family val="2"/>
      </rPr>
      <t>coil</t>
    </r>
    <r>
      <rPr>
        <b/>
        <vertAlign val="subscript"/>
        <sz val="18"/>
        <rFont val="Arial"/>
        <family val="2"/>
      </rPr>
      <t xml:space="preserve"> </t>
    </r>
    <r>
      <rPr>
        <b/>
        <sz val="18"/>
        <rFont val="Arial"/>
        <family val="2"/>
      </rPr>
      <t>=</t>
    </r>
  </si>
  <si>
    <r>
      <t>L</t>
    </r>
    <r>
      <rPr>
        <b/>
        <i/>
        <vertAlign val="subscript"/>
        <sz val="18"/>
        <rFont val="Arial"/>
        <family val="2"/>
      </rPr>
      <t>coil</t>
    </r>
    <r>
      <rPr>
        <b/>
        <sz val="18"/>
        <rFont val="Arial"/>
        <family val="2"/>
      </rPr>
      <t>=</t>
    </r>
  </si>
  <si>
    <r>
      <t>R</t>
    </r>
    <r>
      <rPr>
        <b/>
        <i/>
        <vertAlign val="subscript"/>
        <sz val="18"/>
        <rFont val="Arial"/>
        <family val="2"/>
      </rPr>
      <t>Radiation</t>
    </r>
    <r>
      <rPr>
        <b/>
        <vertAlign val="subscript"/>
        <sz val="18"/>
        <rFont val="Arial"/>
        <family val="2"/>
      </rPr>
      <t xml:space="preserve"> </t>
    </r>
    <r>
      <rPr>
        <b/>
        <sz val="18"/>
        <rFont val="Arial"/>
        <family val="2"/>
      </rPr>
      <t>=</t>
    </r>
  </si>
  <si>
    <r>
      <t>U</t>
    </r>
    <r>
      <rPr>
        <b/>
        <i/>
        <vertAlign val="subscript"/>
        <sz val="18"/>
        <rFont val="Arial"/>
        <family val="2"/>
      </rPr>
      <t>coil</t>
    </r>
    <r>
      <rPr>
        <b/>
        <vertAlign val="subscript"/>
        <sz val="18"/>
        <rFont val="Arial"/>
        <family val="2"/>
      </rPr>
      <t>,max.</t>
    </r>
    <r>
      <rPr>
        <b/>
        <sz val="18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</si>
</sst>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5">
    <font>
      <sz val="10"/>
      <name val="Arial"/>
      <family val="0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sz val="11.5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4.2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b/>
      <i/>
      <vertAlign val="subscript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" fontId="0" fillId="0" borderId="0" xfId="0" applyNumberFormat="1" applyAlignment="1">
      <alignment/>
    </xf>
    <xf numFmtId="1" fontId="4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right"/>
    </xf>
    <xf numFmtId="189" fontId="1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SWR-Verlauf bei Abstimmung auf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45"/>
          <c:w val="0.94"/>
          <c:h val="0.79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Tabelle2!$J$5:$J$35</c:f>
              <c:numCache>
                <c:ptCount val="31"/>
                <c:pt idx="0">
                  <c:v>499</c:v>
                </c:pt>
                <c:pt idx="1">
                  <c:v>499.2</c:v>
                </c:pt>
                <c:pt idx="2">
                  <c:v>499.4</c:v>
                </c:pt>
                <c:pt idx="3">
                  <c:v>499.6</c:v>
                </c:pt>
                <c:pt idx="4">
                  <c:v>499.8</c:v>
                </c:pt>
                <c:pt idx="5">
                  <c:v>500</c:v>
                </c:pt>
                <c:pt idx="6">
                  <c:v>500.2</c:v>
                </c:pt>
                <c:pt idx="7">
                  <c:v>500.4</c:v>
                </c:pt>
                <c:pt idx="8">
                  <c:v>500.6</c:v>
                </c:pt>
                <c:pt idx="9">
                  <c:v>500.8</c:v>
                </c:pt>
                <c:pt idx="10">
                  <c:v>501</c:v>
                </c:pt>
                <c:pt idx="11">
                  <c:v>501.2</c:v>
                </c:pt>
                <c:pt idx="12">
                  <c:v>501.4</c:v>
                </c:pt>
                <c:pt idx="13">
                  <c:v>501.6</c:v>
                </c:pt>
                <c:pt idx="14">
                  <c:v>501.8</c:v>
                </c:pt>
                <c:pt idx="15">
                  <c:v>502</c:v>
                </c:pt>
                <c:pt idx="16">
                  <c:v>502.2</c:v>
                </c:pt>
                <c:pt idx="17">
                  <c:v>502.4</c:v>
                </c:pt>
                <c:pt idx="18">
                  <c:v>502.6</c:v>
                </c:pt>
                <c:pt idx="19">
                  <c:v>502.8</c:v>
                </c:pt>
                <c:pt idx="20">
                  <c:v>503</c:v>
                </c:pt>
                <c:pt idx="21">
                  <c:v>503.2</c:v>
                </c:pt>
                <c:pt idx="22">
                  <c:v>503.4</c:v>
                </c:pt>
                <c:pt idx="23">
                  <c:v>503.6</c:v>
                </c:pt>
                <c:pt idx="24">
                  <c:v>503.8</c:v>
                </c:pt>
                <c:pt idx="25">
                  <c:v>504</c:v>
                </c:pt>
                <c:pt idx="26">
                  <c:v>504.2</c:v>
                </c:pt>
                <c:pt idx="27">
                  <c:v>504.4</c:v>
                </c:pt>
                <c:pt idx="28">
                  <c:v>504.6</c:v>
                </c:pt>
                <c:pt idx="29">
                  <c:v>504.8</c:v>
                </c:pt>
                <c:pt idx="30">
                  <c:v>505</c:v>
                </c:pt>
              </c:numCache>
            </c:numRef>
          </c:xVal>
          <c:yVal>
            <c:numRef>
              <c:f>Tabelle2!$D$5:$D$35</c:f>
              <c:numCache>
                <c:ptCount val="31"/>
                <c:pt idx="0">
                  <c:v>1.286600157770025</c:v>
                </c:pt>
                <c:pt idx="1">
                  <c:v>1.2652664994142897</c:v>
                </c:pt>
                <c:pt idx="2">
                  <c:v>1.2442661962090633</c:v>
                </c:pt>
                <c:pt idx="3">
                  <c:v>1.223595776891362</c:v>
                </c:pt>
                <c:pt idx="4">
                  <c:v>1.2032517543487364</c:v>
                </c:pt>
                <c:pt idx="5">
                  <c:v>1.1832306267483965</c:v>
                </c:pt>
                <c:pt idx="6">
                  <c:v>1.163528878687376</c:v>
                </c:pt>
                <c:pt idx="7">
                  <c:v>1.144142982362218</c:v>
                </c:pt>
                <c:pt idx="8">
                  <c:v>1.125069398756604</c:v>
                </c:pt>
                <c:pt idx="9">
                  <c:v>1.1063045788453003</c:v>
                </c:pt>
                <c:pt idx="10">
                  <c:v>1.0878449648127346</c:v>
                </c:pt>
                <c:pt idx="11">
                  <c:v>1.069686991284482</c:v>
                </c:pt>
                <c:pt idx="12">
                  <c:v>1.0518270865698898</c:v>
                </c:pt>
                <c:pt idx="13">
                  <c:v>1.0342616739140378</c:v>
                </c:pt>
                <c:pt idx="14">
                  <c:v>1.0169871727572077</c:v>
                </c:pt>
                <c:pt idx="15">
                  <c:v>1</c:v>
                </c:pt>
                <c:pt idx="16">
                  <c:v>1.0169871727572077</c:v>
                </c:pt>
                <c:pt idx="17">
                  <c:v>1.0342616739140378</c:v>
                </c:pt>
                <c:pt idx="18">
                  <c:v>1.0518270865698898</c:v>
                </c:pt>
                <c:pt idx="19">
                  <c:v>1.069686991284482</c:v>
                </c:pt>
                <c:pt idx="20">
                  <c:v>1.0878449648127344</c:v>
                </c:pt>
                <c:pt idx="21">
                  <c:v>1.1063045788453003</c:v>
                </c:pt>
                <c:pt idx="22">
                  <c:v>1.125069398756604</c:v>
                </c:pt>
                <c:pt idx="23">
                  <c:v>1.144142982362218</c:v>
                </c:pt>
                <c:pt idx="24">
                  <c:v>1.163528878687376</c:v>
                </c:pt>
                <c:pt idx="25">
                  <c:v>1.1832306267483965</c:v>
                </c:pt>
                <c:pt idx="26">
                  <c:v>1.2032517543487364</c:v>
                </c:pt>
                <c:pt idx="27">
                  <c:v>1.2235957768913621</c:v>
                </c:pt>
                <c:pt idx="28">
                  <c:v>1.2442661962090633</c:v>
                </c:pt>
                <c:pt idx="29">
                  <c:v>1.2652664994142897</c:v>
                </c:pt>
                <c:pt idx="30">
                  <c:v>1.286600157770025</c:v>
                </c:pt>
              </c:numCache>
            </c:numRef>
          </c:yVal>
          <c:smooth val="1"/>
        </c:ser>
        <c:axId val="43512582"/>
        <c:axId val="56068919"/>
      </c:scatterChart>
      <c:valAx>
        <c:axId val="43512582"/>
        <c:scaling>
          <c:orientation val="minMax"/>
          <c:max val="520"/>
          <c:min val="4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crossBetween val="midCat"/>
        <c:dispUnits/>
        <c:minorUnit val="0.1"/>
      </c:valAx>
      <c:valAx>
        <c:axId val="5606891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Strahlungswiderstand der LF Vertikal Antenne in Abhängigkeit des Neigungswinkels des Strahlers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5"/>
          <c:w val="0.88725"/>
          <c:h val="0.79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'R=f(alfa)'!$A$1:$A$9</c:f>
              <c:numCache/>
            </c:numRef>
          </c:xVal>
          <c:yVal>
            <c:numRef>
              <c:f>'R=f(alfa)'!$B$1:$B$9</c:f>
              <c:numCache/>
            </c:numRef>
          </c:yVal>
          <c:smooth val="1"/>
        </c:ser>
        <c:axId val="34858224"/>
        <c:axId val="45288561"/>
      </c:scatterChart>
      <c:valAx>
        <c:axId val="34858224"/>
        <c:scaling>
          <c:orientation val="minMax"/>
          <c:max val="9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Neigungswinkel /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crossBetween val="midCat"/>
        <c:dispUnits/>
        <c:majorUnit val="10"/>
      </c:val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Strahlungswiderstand /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858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9525</xdr:rowOff>
    </xdr:from>
    <xdr:to>
      <xdr:col>6</xdr:col>
      <xdr:colOff>5010150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4276725" y="9525"/>
        <a:ext cx="50101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11</xdr:row>
      <xdr:rowOff>152400</xdr:rowOff>
    </xdr:from>
    <xdr:to>
      <xdr:col>6</xdr:col>
      <xdr:colOff>5019675</xdr:colOff>
      <xdr:row>16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781425"/>
          <a:ext cx="4991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104775</xdr:rowOff>
    </xdr:from>
    <xdr:to>
      <xdr:col>9</xdr:col>
      <xdr:colOff>152400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61925" y="1562100"/>
        <a:ext cx="6934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2.421875" style="1" customWidth="1"/>
    <col min="2" max="2" width="14.421875" style="1" customWidth="1"/>
    <col min="3" max="3" width="8.00390625" style="1" customWidth="1"/>
    <col min="4" max="4" width="3.28125" style="1" customWidth="1"/>
    <col min="5" max="5" width="11.421875" style="1" customWidth="1"/>
    <col min="6" max="6" width="4.421875" style="1" customWidth="1"/>
    <col min="7" max="7" width="77.28125" style="1" customWidth="1"/>
    <col min="8" max="10" width="11.421875" style="1" customWidth="1"/>
    <col min="11" max="11" width="37.8515625" style="1" customWidth="1"/>
    <col min="12" max="16384" width="11.421875" style="1" customWidth="1"/>
  </cols>
  <sheetData>
    <row r="1" spans="1:11" s="7" customFormat="1" ht="27">
      <c r="A1" s="2" t="s">
        <v>5</v>
      </c>
      <c r="B1" s="4">
        <v>600</v>
      </c>
      <c r="C1" s="3" t="s">
        <v>0</v>
      </c>
      <c r="D1" s="28" t="s">
        <v>40</v>
      </c>
      <c r="E1" s="29"/>
      <c r="F1" s="30"/>
      <c r="G1" s="25"/>
      <c r="H1" s="25"/>
      <c r="I1" s="25"/>
      <c r="J1" s="25"/>
      <c r="K1" s="25"/>
    </row>
    <row r="2" spans="1:11" s="7" customFormat="1" ht="27">
      <c r="A2" s="2" t="s">
        <v>42</v>
      </c>
      <c r="B2" s="4">
        <v>17</v>
      </c>
      <c r="C2" s="3" t="s">
        <v>1</v>
      </c>
      <c r="D2" s="31"/>
      <c r="E2" s="32"/>
      <c r="F2" s="33"/>
      <c r="G2" s="25"/>
      <c r="H2" s="25"/>
      <c r="I2" s="25"/>
      <c r="J2" s="25"/>
      <c r="K2" s="25"/>
    </row>
    <row r="3" spans="1:11" s="7" customFormat="1" ht="27">
      <c r="A3" s="2" t="s">
        <v>17</v>
      </c>
      <c r="B3" s="4">
        <v>502</v>
      </c>
      <c r="C3" s="3" t="s">
        <v>2</v>
      </c>
      <c r="D3" s="31"/>
      <c r="E3" s="32"/>
      <c r="F3" s="33"/>
      <c r="G3" s="25"/>
      <c r="H3" s="25"/>
      <c r="I3" s="25"/>
      <c r="J3" s="25"/>
      <c r="K3" s="25"/>
    </row>
    <row r="4" spans="1:11" s="7" customFormat="1" ht="27">
      <c r="A4" s="2" t="s">
        <v>3</v>
      </c>
      <c r="B4" s="4">
        <v>15</v>
      </c>
      <c r="C4" s="3" t="s">
        <v>4</v>
      </c>
      <c r="D4" s="31"/>
      <c r="E4" s="32"/>
      <c r="F4" s="33"/>
      <c r="G4" s="25"/>
      <c r="H4" s="25"/>
      <c r="I4" s="25"/>
      <c r="J4" s="25"/>
      <c r="K4" s="25"/>
    </row>
    <row r="5" spans="1:11" s="7" customFormat="1" ht="27">
      <c r="A5" s="2" t="s">
        <v>43</v>
      </c>
      <c r="B5" s="4">
        <v>8</v>
      </c>
      <c r="C5" s="3" t="s">
        <v>1</v>
      </c>
      <c r="D5" s="31"/>
      <c r="E5" s="32"/>
      <c r="F5" s="33"/>
      <c r="G5" s="25"/>
      <c r="H5" s="25"/>
      <c r="I5" s="25"/>
      <c r="J5" s="25"/>
      <c r="K5" s="25"/>
    </row>
    <row r="6" spans="1:11" s="7" customFormat="1" ht="27">
      <c r="A6" s="2" t="s">
        <v>9</v>
      </c>
      <c r="B6" s="4">
        <v>7</v>
      </c>
      <c r="C6" s="3" t="s">
        <v>10</v>
      </c>
      <c r="D6" s="34"/>
      <c r="E6" s="35"/>
      <c r="F6" s="36"/>
      <c r="G6" s="25"/>
      <c r="H6" s="25"/>
      <c r="I6" s="25"/>
      <c r="J6" s="25"/>
      <c r="K6" s="25"/>
    </row>
    <row r="7" spans="1:11" s="7" customFormat="1" ht="20.25" customHeight="1">
      <c r="A7" s="26" t="s">
        <v>16</v>
      </c>
      <c r="B7" s="26"/>
      <c r="C7" s="26"/>
      <c r="D7" s="26"/>
      <c r="E7" s="26"/>
      <c r="F7" s="26"/>
      <c r="G7" s="25"/>
      <c r="H7" s="25"/>
      <c r="I7" s="25"/>
      <c r="J7" s="25"/>
      <c r="K7" s="25"/>
    </row>
    <row r="8" spans="1:256" ht="22.5">
      <c r="A8" s="27"/>
      <c r="B8" s="27"/>
      <c r="C8" s="27"/>
      <c r="D8" s="27"/>
      <c r="E8" s="27"/>
      <c r="F8" s="27"/>
      <c r="G8" s="25"/>
      <c r="H8" s="25"/>
      <c r="I8" s="25"/>
      <c r="J8" s="25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" ht="27">
      <c r="A9" s="10" t="s">
        <v>44</v>
      </c>
      <c r="B9" s="11">
        <f>1000000/(0.039478*B1*B3*B3)</f>
        <v>0.16752752508129162</v>
      </c>
      <c r="C9" s="12" t="s">
        <v>6</v>
      </c>
      <c r="D9" s="37" t="s">
        <v>41</v>
      </c>
      <c r="E9" s="38"/>
      <c r="F9" s="39"/>
      <c r="G9" s="25"/>
      <c r="H9" s="25"/>
      <c r="I9" s="25"/>
      <c r="J9" s="25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ht="27">
      <c r="A10" s="10" t="s">
        <v>7</v>
      </c>
      <c r="B10" s="11">
        <f>SQRT(B4/(B2+B5))</f>
        <v>0.7745966692414834</v>
      </c>
      <c r="C10" s="12" t="s">
        <v>8</v>
      </c>
      <c r="D10" s="40"/>
      <c r="E10" s="41"/>
      <c r="F10" s="42"/>
      <c r="G10" s="25"/>
      <c r="H10" s="25"/>
      <c r="I10" s="25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ht="27">
      <c r="A11" s="10" t="s">
        <v>45</v>
      </c>
      <c r="B11" s="11">
        <f>394.78*B6*B6*B3*B3/(89875517870)</f>
        <v>0.05423969655375073</v>
      </c>
      <c r="C11" s="12" t="s">
        <v>1</v>
      </c>
      <c r="D11" s="40"/>
      <c r="E11" s="41"/>
      <c r="F11" s="42"/>
      <c r="G11" s="25"/>
      <c r="H11" s="25"/>
      <c r="I11" s="25"/>
      <c r="J11" s="25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ht="27">
      <c r="A12" s="10" t="s">
        <v>11</v>
      </c>
      <c r="B12" s="11">
        <f>100*B11/(B11+B2+B5)</f>
        <v>0.2164890941041467</v>
      </c>
      <c r="C12" s="12" t="s">
        <v>12</v>
      </c>
      <c r="D12" s="40"/>
      <c r="E12" s="41"/>
      <c r="F12" s="42"/>
      <c r="G12" s="25"/>
      <c r="H12" s="25"/>
      <c r="I12" s="25"/>
      <c r="J12" s="25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27">
      <c r="A13" s="10" t="s">
        <v>34</v>
      </c>
      <c r="B13" s="11">
        <f>B4*B12/100</f>
        <v>0.032473364115622</v>
      </c>
      <c r="C13" s="12" t="s">
        <v>4</v>
      </c>
      <c r="D13" s="40"/>
      <c r="E13" s="41"/>
      <c r="F13" s="42"/>
      <c r="G13" s="25"/>
      <c r="H13" s="25"/>
      <c r="I13" s="25"/>
      <c r="J13" s="25"/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ht="22.5">
      <c r="A14" s="10" t="s">
        <v>14</v>
      </c>
      <c r="B14" s="13">
        <f>299792/B3</f>
        <v>597.1952191235059</v>
      </c>
      <c r="C14" s="12" t="s">
        <v>10</v>
      </c>
      <c r="D14" s="40"/>
      <c r="E14" s="41"/>
      <c r="F14" s="42"/>
      <c r="G14" s="25"/>
      <c r="H14" s="25"/>
      <c r="I14" s="25"/>
      <c r="J14" s="25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104" ht="22.5">
      <c r="A15" s="10" t="s">
        <v>15</v>
      </c>
      <c r="B15" s="11">
        <f>0.12*(B2+B5)*B1/1000</f>
        <v>1.8</v>
      </c>
      <c r="C15" s="12" t="s">
        <v>2</v>
      </c>
      <c r="D15" s="40"/>
      <c r="E15" s="41"/>
      <c r="F15" s="42"/>
      <c r="G15" s="2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23.25" customHeight="1">
      <c r="A16" s="10" t="s">
        <v>46</v>
      </c>
      <c r="B16" s="11">
        <f>2*3.14159*B3*B9*0.001*B10</f>
        <v>0.40930308354745765</v>
      </c>
      <c r="C16" s="12" t="s">
        <v>25</v>
      </c>
      <c r="D16" s="40"/>
      <c r="E16" s="41"/>
      <c r="F16" s="42"/>
      <c r="G16" s="2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22.5">
      <c r="A17" s="10" t="s">
        <v>33</v>
      </c>
      <c r="B17" s="13">
        <f>B3/B15</f>
        <v>278.88888888888886</v>
      </c>
      <c r="C17" s="10"/>
      <c r="D17" s="40"/>
      <c r="E17" s="41"/>
      <c r="F17" s="42"/>
      <c r="G17" s="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ht="27">
      <c r="A18" s="10" t="s">
        <v>13</v>
      </c>
      <c r="B18" s="11">
        <f>B13*1.83</f>
        <v>0.05942625633158827</v>
      </c>
      <c r="C18" s="12" t="s">
        <v>4</v>
      </c>
      <c r="D18" s="43"/>
      <c r="E18" s="44"/>
      <c r="F18" s="45"/>
      <c r="G18" s="2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ht="22.5">
      <c r="A19" s="23"/>
      <c r="B19" s="23"/>
      <c r="C19" s="23"/>
      <c r="D19" s="23"/>
      <c r="E19" s="23"/>
      <c r="F19" s="23"/>
      <c r="G19" s="2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ht="22.5">
      <c r="A20" s="7" t="str">
        <f>A13</f>
        <v>PEMRP =</v>
      </c>
      <c r="B20" s="53">
        <f>B13*1000</f>
        <v>32.473364115622005</v>
      </c>
      <c r="C20" s="23" t="s">
        <v>39</v>
      </c>
      <c r="D20" s="23"/>
      <c r="E20" s="23"/>
      <c r="F20" s="23"/>
      <c r="G20" s="2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ht="22.5">
      <c r="A21" s="7" t="str">
        <f>A18</f>
        <v>PERP =</v>
      </c>
      <c r="B21" s="53">
        <f>B18*1000</f>
        <v>59.42625633158827</v>
      </c>
      <c r="C21" s="7" t="s">
        <v>39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ht="22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ht="22.5">
      <c r="A23" s="7" t="str">
        <f>A20</f>
        <v>PEMRP =</v>
      </c>
      <c r="B23" s="54">
        <f>B20*1000</f>
        <v>32473.364115622004</v>
      </c>
      <c r="C23" s="7" t="s">
        <v>38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ht="22.5">
      <c r="A24" s="7" t="str">
        <f>A21</f>
        <v>PERP =</v>
      </c>
      <c r="B24" s="54">
        <f>B21*1000</f>
        <v>59426.25633158827</v>
      </c>
      <c r="C24" s="7" t="s">
        <v>38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ht="22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ht="22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ht="22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ht="22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22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22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22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ht="22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4:104" ht="22.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5:104" ht="22.5"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5:104" ht="22.5"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5:104" ht="22.5"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5:104" ht="22.5"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5:104" ht="22.5"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5:104" ht="22.5"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5:104" ht="22.5"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5:104" ht="22.5"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5:104" ht="22.5"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5:104" ht="22.5"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5:104" ht="22.5"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5:104" ht="22.5"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5:104" ht="22.5"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5:104" ht="22.5"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5:104" ht="22.5"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5:104" ht="22.5"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5:104" ht="22.5"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5:104" ht="22.5"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5:104" ht="22.5"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5:104" ht="22.5"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5:104" ht="22.5"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5:104" ht="22.5"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5:104" ht="22.5"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5:104" ht="22.5"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5:104" ht="22.5"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5:104" ht="22.5"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5:104" ht="22.5"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5:104" ht="22.5"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5:104" ht="22.5"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5:104" ht="22.5"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5:104" ht="22.5"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5:104" ht="22.5"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5:104" ht="22.5"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5:104" ht="22.5"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5:104" ht="22.5"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5:104" ht="22.5"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5:104" ht="22.5"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5:104" ht="22.5"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5:104" ht="22.5"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5:104" ht="22.5"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5:104" ht="22.5"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5:104" ht="22.5"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5:104" ht="22.5"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5:104" ht="22.5"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5:104" ht="22.5"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5:104" ht="22.5"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5:104" ht="22.5"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5:104" ht="22.5"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5:104" ht="22.5"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5:104" ht="22.5"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5:104" ht="22.5"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5:104" ht="22.5"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5:104" ht="22.5"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5:104" ht="22.5"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5:104" ht="22.5"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5:104" ht="22.5"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5:104" ht="22.5"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5:104" ht="22.5"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5:104" ht="22.5"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22.5"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5:104" ht="22.5"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5:104" ht="22.5"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5:104" ht="22.5"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5:104" ht="22.5"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5:104" ht="22.5"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5:104" ht="22.5"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2:104" ht="22.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2:104" ht="22.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</sheetData>
  <mergeCells count="5">
    <mergeCell ref="H1:K14"/>
    <mergeCell ref="A7:F8"/>
    <mergeCell ref="D1:F6"/>
    <mergeCell ref="G1:G17"/>
    <mergeCell ref="D9:F18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workbookViewId="0" topLeftCell="A1">
      <selection activeCell="A11" sqref="A11:G26"/>
    </sheetView>
  </sheetViews>
  <sheetFormatPr defaultColWidth="9.140625" defaultRowHeight="12.75"/>
  <cols>
    <col min="1" max="1" width="22.421875" style="1" customWidth="1"/>
    <col min="2" max="2" width="13.00390625" style="1" customWidth="1"/>
    <col min="3" max="3" width="9.7109375" style="1" customWidth="1"/>
    <col min="4" max="4" width="3.28125" style="1" customWidth="1"/>
    <col min="5" max="5" width="11.421875" style="1" customWidth="1"/>
    <col min="6" max="6" width="4.421875" style="1" customWidth="1"/>
    <col min="7" max="7" width="77.28125" style="1" customWidth="1"/>
    <col min="8" max="10" width="11.421875" style="1" customWidth="1"/>
    <col min="11" max="11" width="37.8515625" style="1" customWidth="1"/>
    <col min="12" max="16384" width="11.421875" style="1" customWidth="1"/>
  </cols>
  <sheetData>
    <row r="1" spans="1:11" s="7" customFormat="1" ht="22.5">
      <c r="A1" s="2" t="s">
        <v>26</v>
      </c>
      <c r="B1" s="4">
        <v>11</v>
      </c>
      <c r="C1" s="3" t="s">
        <v>27</v>
      </c>
      <c r="D1" s="49" t="s">
        <v>40</v>
      </c>
      <c r="E1" s="49"/>
      <c r="F1" s="49"/>
      <c r="G1" s="46"/>
      <c r="H1" s="25"/>
      <c r="I1" s="25"/>
      <c r="J1" s="25"/>
      <c r="K1" s="25"/>
    </row>
    <row r="2" spans="1:11" s="7" customFormat="1" ht="27">
      <c r="A2" s="2" t="s">
        <v>28</v>
      </c>
      <c r="B2" s="4">
        <v>10</v>
      </c>
      <c r="C2" s="3" t="s">
        <v>27</v>
      </c>
      <c r="D2" s="49"/>
      <c r="E2" s="49"/>
      <c r="F2" s="49"/>
      <c r="G2" s="46"/>
      <c r="H2" s="25"/>
      <c r="I2" s="25"/>
      <c r="J2" s="25"/>
      <c r="K2" s="25"/>
    </row>
    <row r="3" spans="1:11" s="7" customFormat="1" ht="22.5">
      <c r="A3" s="21" t="s">
        <v>29</v>
      </c>
      <c r="B3" s="4">
        <v>800</v>
      </c>
      <c r="C3" s="3" t="s">
        <v>4</v>
      </c>
      <c r="D3" s="49"/>
      <c r="E3" s="49"/>
      <c r="F3" s="49"/>
      <c r="G3" s="46"/>
      <c r="H3" s="25"/>
      <c r="I3" s="25"/>
      <c r="J3" s="25"/>
      <c r="K3" s="25"/>
    </row>
    <row r="4" spans="1:11" s="7" customFormat="1" ht="22.5">
      <c r="A4" s="48" t="s">
        <v>30</v>
      </c>
      <c r="B4" s="48"/>
      <c r="C4" s="48"/>
      <c r="D4" s="48"/>
      <c r="E4" s="48"/>
      <c r="F4" s="48"/>
      <c r="G4" s="46"/>
      <c r="H4" s="25"/>
      <c r="I4" s="25"/>
      <c r="J4" s="25"/>
      <c r="K4" s="25"/>
    </row>
    <row r="5" spans="1:11" s="7" customFormat="1" ht="22.5">
      <c r="A5" s="48"/>
      <c r="B5" s="48"/>
      <c r="C5" s="48"/>
      <c r="D5" s="48"/>
      <c r="E5" s="48"/>
      <c r="F5" s="48"/>
      <c r="G5" s="46"/>
      <c r="H5" s="25"/>
      <c r="I5" s="25"/>
      <c r="J5" s="25"/>
      <c r="K5" s="25"/>
    </row>
    <row r="6" spans="1:11" s="7" customFormat="1" ht="22.5">
      <c r="A6" s="48"/>
      <c r="B6" s="48"/>
      <c r="C6" s="48"/>
      <c r="D6" s="48"/>
      <c r="E6" s="48"/>
      <c r="F6" s="48"/>
      <c r="G6" s="46"/>
      <c r="H6" s="25"/>
      <c r="I6" s="25"/>
      <c r="J6" s="25"/>
      <c r="K6" s="25"/>
    </row>
    <row r="7" spans="1:11" s="7" customFormat="1" ht="23.25" customHeight="1">
      <c r="A7" s="48"/>
      <c r="B7" s="48"/>
      <c r="C7" s="48"/>
      <c r="D7" s="48"/>
      <c r="E7" s="48"/>
      <c r="F7" s="48"/>
      <c r="G7" s="46"/>
      <c r="H7" s="25"/>
      <c r="I7" s="25"/>
      <c r="J7" s="25"/>
      <c r="K7" s="25"/>
    </row>
    <row r="8" spans="1:256" ht="22.5">
      <c r="A8" s="48"/>
      <c r="B8" s="48"/>
      <c r="C8" s="48"/>
      <c r="D8" s="48"/>
      <c r="E8" s="48"/>
      <c r="F8" s="48"/>
      <c r="G8" s="46"/>
      <c r="H8" s="25"/>
      <c r="I8" s="25"/>
      <c r="J8" s="25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" ht="27">
      <c r="A9" s="10" t="s">
        <v>31</v>
      </c>
      <c r="B9" s="22">
        <f>B1*B3*B2/225</f>
        <v>391.1111111111111</v>
      </c>
      <c r="C9" s="12" t="s">
        <v>4</v>
      </c>
      <c r="D9" s="50" t="s">
        <v>41</v>
      </c>
      <c r="E9" s="51"/>
      <c r="F9" s="51"/>
      <c r="G9" s="46"/>
      <c r="H9" s="25"/>
      <c r="I9" s="25"/>
      <c r="J9" s="25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ht="27">
      <c r="A10" s="10" t="s">
        <v>32</v>
      </c>
      <c r="B10" s="13">
        <f>50*B1/B2</f>
        <v>55</v>
      </c>
      <c r="C10" s="12" t="s">
        <v>1</v>
      </c>
      <c r="D10" s="51"/>
      <c r="E10" s="51"/>
      <c r="F10" s="51"/>
      <c r="G10" s="46"/>
      <c r="H10" s="25"/>
      <c r="I10" s="25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ht="22.5">
      <c r="A11" s="47"/>
      <c r="B11" s="47"/>
      <c r="C11" s="47"/>
      <c r="D11" s="47"/>
      <c r="E11" s="47"/>
      <c r="F11" s="47"/>
      <c r="G11" s="47"/>
      <c r="H11" s="25"/>
      <c r="I11" s="25"/>
      <c r="J11" s="25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ht="22.5">
      <c r="A12" s="47"/>
      <c r="B12" s="47"/>
      <c r="C12" s="47"/>
      <c r="D12" s="47"/>
      <c r="E12" s="47"/>
      <c r="F12" s="47"/>
      <c r="G12" s="47"/>
      <c r="H12" s="25"/>
      <c r="I12" s="25"/>
      <c r="J12" s="25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22.5">
      <c r="A13" s="47"/>
      <c r="B13" s="47"/>
      <c r="C13" s="47"/>
      <c r="D13" s="47"/>
      <c r="E13" s="47"/>
      <c r="F13" s="47"/>
      <c r="G13" s="47"/>
      <c r="H13" s="25"/>
      <c r="I13" s="25"/>
      <c r="J13" s="25"/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ht="22.5">
      <c r="A14" s="47"/>
      <c r="B14" s="47"/>
      <c r="C14" s="47"/>
      <c r="D14" s="47"/>
      <c r="E14" s="47"/>
      <c r="F14" s="47"/>
      <c r="G14" s="47"/>
      <c r="H14" s="25"/>
      <c r="I14" s="25"/>
      <c r="J14" s="25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104" ht="22.5">
      <c r="A15" s="47"/>
      <c r="B15" s="47"/>
      <c r="C15" s="47"/>
      <c r="D15" s="47"/>
      <c r="E15" s="47"/>
      <c r="F15" s="47"/>
      <c r="G15" s="4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23.25" customHeight="1">
      <c r="A16" s="47"/>
      <c r="B16" s="47"/>
      <c r="C16" s="47"/>
      <c r="D16" s="47"/>
      <c r="E16" s="47"/>
      <c r="F16" s="47"/>
      <c r="G16" s="4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22.5">
      <c r="A17" s="47"/>
      <c r="B17" s="47"/>
      <c r="C17" s="47"/>
      <c r="D17" s="47"/>
      <c r="E17" s="47"/>
      <c r="F17" s="47"/>
      <c r="G17" s="4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ht="22.5">
      <c r="A18" s="47"/>
      <c r="B18" s="47"/>
      <c r="C18" s="47"/>
      <c r="D18" s="47"/>
      <c r="E18" s="47"/>
      <c r="F18" s="47"/>
      <c r="G18" s="4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ht="22.5">
      <c r="A19" s="47"/>
      <c r="B19" s="47"/>
      <c r="C19" s="47"/>
      <c r="D19" s="47"/>
      <c r="E19" s="47"/>
      <c r="F19" s="47"/>
      <c r="G19" s="4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ht="22.5">
      <c r="A20" s="47"/>
      <c r="B20" s="47"/>
      <c r="C20" s="47"/>
      <c r="D20" s="47"/>
      <c r="E20" s="47"/>
      <c r="F20" s="47"/>
      <c r="G20" s="4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ht="22.5">
      <c r="A21" s="47"/>
      <c r="B21" s="47"/>
      <c r="C21" s="47"/>
      <c r="D21" s="47"/>
      <c r="E21" s="47"/>
      <c r="F21" s="47"/>
      <c r="G21" s="4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ht="22.5">
      <c r="A22" s="47"/>
      <c r="B22" s="47"/>
      <c r="C22" s="47"/>
      <c r="D22" s="47"/>
      <c r="E22" s="47"/>
      <c r="F22" s="47"/>
      <c r="G22" s="4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ht="22.5">
      <c r="A23" s="47"/>
      <c r="B23" s="47"/>
      <c r="C23" s="47"/>
      <c r="D23" s="47"/>
      <c r="E23" s="47"/>
      <c r="F23" s="47"/>
      <c r="G23" s="4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ht="22.5">
      <c r="A24" s="47"/>
      <c r="B24" s="47"/>
      <c r="C24" s="47"/>
      <c r="D24" s="47"/>
      <c r="E24" s="47"/>
      <c r="F24" s="47"/>
      <c r="G24" s="4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ht="22.5">
      <c r="A25" s="47"/>
      <c r="B25" s="47"/>
      <c r="C25" s="47"/>
      <c r="D25" s="47"/>
      <c r="E25" s="47"/>
      <c r="F25" s="47"/>
      <c r="G25" s="4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ht="22.5">
      <c r="A26" s="47"/>
      <c r="B26" s="47"/>
      <c r="C26" s="47"/>
      <c r="D26" s="47"/>
      <c r="E26" s="47"/>
      <c r="F26" s="47"/>
      <c r="G26" s="4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ht="22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ht="22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22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22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22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ht="22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4:104" ht="22.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5:104" ht="22.5"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5:104" ht="22.5"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5:104" ht="22.5"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5:104" ht="22.5"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5:104" ht="22.5"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5:104" ht="22.5"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5:104" ht="22.5"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5:104" ht="22.5"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5:104" ht="22.5"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5:104" ht="22.5"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5:104" ht="22.5"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5:104" ht="22.5"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5:104" ht="22.5"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5:104" ht="22.5"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5:104" ht="22.5"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5:104" ht="22.5"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5:104" ht="22.5"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5:104" ht="22.5"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5:104" ht="22.5"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5:104" ht="22.5"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5:104" ht="22.5"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5:104" ht="22.5"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5:104" ht="22.5"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5:104" ht="22.5"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5:104" ht="22.5"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5:104" ht="22.5"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5:104" ht="22.5"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5:104" ht="22.5"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5:104" ht="22.5"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5:104" ht="22.5"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5:104" ht="22.5"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5:104" ht="22.5"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5:104" ht="22.5"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5:104" ht="22.5"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5:104" ht="22.5"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5:104" ht="22.5"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5:104" ht="22.5"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5:104" ht="22.5"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5:104" ht="22.5"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5:104" ht="22.5"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5:104" ht="22.5"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5:104" ht="22.5"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5:104" ht="22.5"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5:104" ht="22.5"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5:104" ht="22.5"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5:104" ht="22.5"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5:104" ht="22.5"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5:104" ht="22.5"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5:104" ht="22.5"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5:104" ht="22.5"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5:104" ht="22.5"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5:104" ht="22.5"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5:104" ht="22.5"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5:104" ht="22.5"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5:104" ht="22.5"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5:104" ht="22.5"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5:104" ht="22.5"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5:104" ht="22.5"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5:104" ht="22.5"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22.5"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5:104" ht="22.5"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5:104" ht="22.5"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5:104" ht="22.5"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5:104" ht="22.5"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5:104" ht="22.5"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5:104" ht="22.5"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2:104" ht="22.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2:104" ht="22.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</sheetData>
  <mergeCells count="6">
    <mergeCell ref="G1:G10"/>
    <mergeCell ref="A11:G26"/>
    <mergeCell ref="H1:K14"/>
    <mergeCell ref="A4:F8"/>
    <mergeCell ref="D1:F3"/>
    <mergeCell ref="D9:F10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B9"/>
    </sheetView>
  </sheetViews>
  <sheetFormatPr defaultColWidth="9.140625" defaultRowHeight="12.75"/>
  <cols>
    <col min="1" max="16384" width="11.57421875" style="0" customWidth="1"/>
  </cols>
  <sheetData>
    <row r="1" spans="1:11" ht="12.75">
      <c r="A1">
        <v>90</v>
      </c>
      <c r="B1" s="24">
        <f>E1*Antenna!$B$11</f>
        <v>0.05423969655375073</v>
      </c>
      <c r="D1">
        <v>0.8102</v>
      </c>
      <c r="E1">
        <f>D1/0.8102</f>
        <v>1</v>
      </c>
      <c r="G1" s="52" t="s">
        <v>35</v>
      </c>
      <c r="H1" s="52"/>
      <c r="I1" s="52"/>
      <c r="J1" s="52"/>
      <c r="K1" s="52"/>
    </row>
    <row r="2" spans="1:11" ht="12.75">
      <c r="A2">
        <v>80</v>
      </c>
      <c r="B2" s="24">
        <f>E2*Antenna!$B$11</f>
        <v>0.052760188662072265</v>
      </c>
      <c r="D2">
        <v>0.7881</v>
      </c>
      <c r="E2">
        <f aca="true" t="shared" si="0" ref="E2:E9">D2/0.8102</f>
        <v>0.9727227844976549</v>
      </c>
      <c r="G2" s="52"/>
      <c r="H2" s="52"/>
      <c r="I2" s="52"/>
      <c r="J2" s="52"/>
      <c r="K2" s="52"/>
    </row>
    <row r="3" spans="1:11" ht="12.75">
      <c r="A3">
        <v>70</v>
      </c>
      <c r="B3" s="24">
        <f>E3*Antenna!$B$11</f>
        <v>0.048248024322745185</v>
      </c>
      <c r="D3">
        <v>0.7207</v>
      </c>
      <c r="E3">
        <f t="shared" si="0"/>
        <v>0.8895334485312268</v>
      </c>
      <c r="G3" s="52"/>
      <c r="H3" s="52"/>
      <c r="I3" s="52"/>
      <c r="J3" s="52"/>
      <c r="K3" s="52"/>
    </row>
    <row r="4" spans="1:11" ht="12.75">
      <c r="A4">
        <v>60</v>
      </c>
      <c r="B4" s="24">
        <f>E4*Antenna!$B$11</f>
        <v>0.04099107158709154</v>
      </c>
      <c r="D4">
        <v>0.6123</v>
      </c>
      <c r="E4">
        <f t="shared" si="0"/>
        <v>0.7557393236237965</v>
      </c>
      <c r="G4" s="52"/>
      <c r="H4" s="52"/>
      <c r="I4" s="52"/>
      <c r="J4" s="52"/>
      <c r="K4" s="52"/>
    </row>
    <row r="5" spans="1:5" ht="12.75">
      <c r="A5">
        <v>50</v>
      </c>
      <c r="B5" s="24">
        <f>E5*Antenna!$B$11</f>
        <v>0.03204038357272908</v>
      </c>
      <c r="D5">
        <v>0.4786</v>
      </c>
      <c r="E5">
        <f t="shared" si="0"/>
        <v>0.5907183411503333</v>
      </c>
    </row>
    <row r="6" spans="1:5" ht="12.75">
      <c r="A6">
        <v>40</v>
      </c>
      <c r="B6" s="24">
        <f>E6*Antenna!$B$11</f>
        <v>0.022688019207684672</v>
      </c>
      <c r="D6">
        <v>0.3389</v>
      </c>
      <c r="E6">
        <f t="shared" si="0"/>
        <v>0.4182917798074549</v>
      </c>
    </row>
    <row r="7" spans="1:7" ht="12.75">
      <c r="A7">
        <v>30</v>
      </c>
      <c r="B7" s="24">
        <f>E7*Antenna!$B$11</f>
        <v>0.013998420821265461</v>
      </c>
      <c r="D7">
        <v>0.2091</v>
      </c>
      <c r="E7">
        <f t="shared" si="0"/>
        <v>0.2580844235991113</v>
      </c>
      <c r="G7" t="s">
        <v>36</v>
      </c>
    </row>
    <row r="8" spans="1:7" ht="12.75">
      <c r="A8">
        <v>20</v>
      </c>
      <c r="B8" s="24">
        <f>E8*Antenna!$B$11</f>
        <v>0.006728078873922424</v>
      </c>
      <c r="D8">
        <v>0.1005</v>
      </c>
      <c r="E8">
        <f t="shared" si="0"/>
        <v>0.12404344606270057</v>
      </c>
      <c r="G8" t="s">
        <v>37</v>
      </c>
    </row>
    <row r="9" spans="1:5" ht="12.75">
      <c r="A9">
        <v>10</v>
      </c>
      <c r="B9" s="24">
        <f>E9*Antenna!$B$11</f>
        <v>0.0017727316276762767</v>
      </c>
      <c r="D9">
        <v>0.02648</v>
      </c>
      <c r="E9">
        <f t="shared" si="0"/>
        <v>0.03268328807701802</v>
      </c>
    </row>
  </sheetData>
  <mergeCells count="1">
    <mergeCell ref="G1:K4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0" sqref="A20"/>
    </sheetView>
  </sheetViews>
  <sheetFormatPr defaultColWidth="9.140625" defaultRowHeight="12.75"/>
  <cols>
    <col min="1" max="1" width="11.57421875" style="0" customWidth="1"/>
    <col min="2" max="2" width="10.421875" style="0" customWidth="1"/>
    <col min="3" max="16384" width="11.57421875" style="0" customWidth="1"/>
  </cols>
  <sheetData>
    <row r="1" spans="1:4" ht="12.75">
      <c r="A1" t="s">
        <v>18</v>
      </c>
      <c r="B1" t="s">
        <v>19</v>
      </c>
      <c r="C1" t="s">
        <v>22</v>
      </c>
      <c r="D1" t="s">
        <v>22</v>
      </c>
    </row>
    <row r="2" spans="1:10" ht="12.75">
      <c r="A2" s="16">
        <f aca="true" t="shared" si="0" ref="A2:A18">A3-200</f>
        <v>498400</v>
      </c>
      <c r="B2" s="20">
        <f>(A2-$A$20)/(3.141*$A$20*$A$20*$F$4/1000000000000)</f>
        <v>-7.5801164872885165</v>
      </c>
      <c r="C2">
        <f>(SQRT(4*$F$5*$F$5+B2*B2)+B2)/(SQRT(4*$F$5*$F$5+B2*B2)-B2)</f>
        <v>0.7392973499802072</v>
      </c>
      <c r="D2" s="19">
        <f>1/C2</f>
        <v>1.3526357155571738</v>
      </c>
      <c r="E2" t="s">
        <v>21</v>
      </c>
      <c r="J2">
        <f>A2/1000</f>
        <v>498.4</v>
      </c>
    </row>
    <row r="3" spans="1:10" ht="12.75">
      <c r="A3" s="16">
        <f t="shared" si="0"/>
        <v>498600</v>
      </c>
      <c r="B3" s="20">
        <f aca="true" t="shared" si="1" ref="B3:B35">(A3-$A$20)/(3.141*$A$20*$A$20*$F$4/1000000000000)</f>
        <v>-7.1589989046613765</v>
      </c>
      <c r="C3">
        <f aca="true" t="shared" si="2" ref="C3:C35">(SQRT(4*$F$5*$F$5+B3*B3)+B3)/(SQRT(4*$F$5*$F$5+B3*B3)-B3)</f>
        <v>0.7517206853854373</v>
      </c>
      <c r="D3" s="19">
        <f aca="true" t="shared" si="3" ref="D3:D19">1/C3</f>
        <v>1.330281339121671</v>
      </c>
      <c r="J3">
        <f aca="true" t="shared" si="4" ref="J3:J35">A3/1000</f>
        <v>498.6</v>
      </c>
    </row>
    <row r="4" spans="1:10" ht="12.75">
      <c r="A4" s="16">
        <f t="shared" si="0"/>
        <v>498800</v>
      </c>
      <c r="B4" s="20">
        <f t="shared" si="1"/>
        <v>-6.737881322034237</v>
      </c>
      <c r="C4">
        <f t="shared" si="2"/>
        <v>0.764367845952561</v>
      </c>
      <c r="D4" s="19">
        <f t="shared" si="3"/>
        <v>1.3082706255831476</v>
      </c>
      <c r="E4" s="18" t="s">
        <v>20</v>
      </c>
      <c r="F4">
        <f>Antenna!B1</f>
        <v>600</v>
      </c>
      <c r="G4" t="s">
        <v>0</v>
      </c>
      <c r="J4">
        <f t="shared" si="4"/>
        <v>498.8</v>
      </c>
    </row>
    <row r="5" spans="1:10" ht="12.75">
      <c r="A5" s="16">
        <f t="shared" si="0"/>
        <v>499000</v>
      </c>
      <c r="B5" s="20">
        <f t="shared" si="1"/>
        <v>-6.316763739407097</v>
      </c>
      <c r="C5">
        <f t="shared" si="2"/>
        <v>0.7772422488531563</v>
      </c>
      <c r="D5" s="19">
        <f t="shared" si="3"/>
        <v>1.286600157770025</v>
      </c>
      <c r="E5" s="18" t="s">
        <v>23</v>
      </c>
      <c r="F5">
        <f>Antenna!B2+Antenna!B5</f>
        <v>25</v>
      </c>
      <c r="G5" t="s">
        <v>24</v>
      </c>
      <c r="J5">
        <f t="shared" si="4"/>
        <v>499</v>
      </c>
    </row>
    <row r="6" spans="1:10" ht="12.75">
      <c r="A6" s="16">
        <f t="shared" si="0"/>
        <v>499200</v>
      </c>
      <c r="B6" s="20">
        <f t="shared" si="1"/>
        <v>-5.895646156779957</v>
      </c>
      <c r="C6">
        <f t="shared" si="2"/>
        <v>0.7903473303552371</v>
      </c>
      <c r="D6" s="19">
        <f t="shared" si="3"/>
        <v>1.2652664994142897</v>
      </c>
      <c r="J6">
        <f t="shared" si="4"/>
        <v>499.2</v>
      </c>
    </row>
    <row r="7" spans="1:10" ht="12.75">
      <c r="A7" s="16">
        <f t="shared" si="0"/>
        <v>499400</v>
      </c>
      <c r="B7" s="20">
        <f t="shared" si="1"/>
        <v>-5.474528574152817</v>
      </c>
      <c r="C7">
        <f t="shared" si="2"/>
        <v>0.8036865447656818</v>
      </c>
      <c r="D7" s="19">
        <f t="shared" si="3"/>
        <v>1.2442661962090633</v>
      </c>
      <c r="J7">
        <f t="shared" si="4"/>
        <v>499.4</v>
      </c>
    </row>
    <row r="8" spans="1:10" ht="12.75">
      <c r="A8" s="16">
        <f t="shared" si="0"/>
        <v>499600</v>
      </c>
      <c r="B8" s="20">
        <f t="shared" si="1"/>
        <v>-5.053410991525678</v>
      </c>
      <c r="C8">
        <f t="shared" si="2"/>
        <v>0.8172633633474741</v>
      </c>
      <c r="D8" s="19">
        <f t="shared" si="3"/>
        <v>1.223595776891362</v>
      </c>
      <c r="J8">
        <f t="shared" si="4"/>
        <v>499.6</v>
      </c>
    </row>
    <row r="9" spans="1:10" ht="12.75">
      <c r="A9" s="16">
        <f t="shared" si="0"/>
        <v>499800</v>
      </c>
      <c r="B9" s="20">
        <f t="shared" si="1"/>
        <v>-4.632293408898538</v>
      </c>
      <c r="C9">
        <f t="shared" si="2"/>
        <v>0.8310812732130634</v>
      </c>
      <c r="D9" s="19">
        <f t="shared" si="3"/>
        <v>1.2032517543487364</v>
      </c>
      <c r="F9" s="19">
        <f>(SQRT(4*$F$5*$F$5+B2*B2)+B2)</f>
        <v>42.99120113407531</v>
      </c>
      <c r="J9">
        <f t="shared" si="4"/>
        <v>499.8</v>
      </c>
    </row>
    <row r="10" spans="1:10" ht="12.75">
      <c r="A10" s="16">
        <f t="shared" si="0"/>
        <v>500000</v>
      </c>
      <c r="B10" s="20">
        <f t="shared" si="1"/>
        <v>-4.211175826271398</v>
      </c>
      <c r="C10">
        <f t="shared" si="2"/>
        <v>0.8451437761952397</v>
      </c>
      <c r="D10" s="19">
        <f t="shared" si="3"/>
        <v>1.1832306267483965</v>
      </c>
      <c r="F10" s="19">
        <f>(SQRT(4*$F$5*$F$5+B2*B2)-B2)</f>
        <v>58.15143410865234</v>
      </c>
      <c r="J10">
        <f t="shared" si="4"/>
        <v>500</v>
      </c>
    </row>
    <row r="11" spans="1:10" ht="12.75">
      <c r="A11" s="16">
        <f t="shared" si="0"/>
        <v>500200</v>
      </c>
      <c r="B11" s="20">
        <f t="shared" si="1"/>
        <v>-3.7900582436442583</v>
      </c>
      <c r="C11">
        <f t="shared" si="2"/>
        <v>0.8594543876969692</v>
      </c>
      <c r="D11" s="19">
        <f t="shared" si="3"/>
        <v>1.163528878687376</v>
      </c>
      <c r="J11">
        <f t="shared" si="4"/>
        <v>500.2</v>
      </c>
    </row>
    <row r="12" spans="1:10" ht="12.75">
      <c r="A12" s="16">
        <f t="shared" si="0"/>
        <v>500400</v>
      </c>
      <c r="B12" s="20">
        <f t="shared" si="1"/>
        <v>-3.3689406610171186</v>
      </c>
      <c r="C12">
        <f t="shared" si="2"/>
        <v>0.8740166355217092</v>
      </c>
      <c r="D12" s="19">
        <f t="shared" si="3"/>
        <v>1.144142982362218</v>
      </c>
      <c r="F12">
        <f>SQRT(4*$F$5*$F$5+B2*B2)</f>
        <v>50.571317621363825</v>
      </c>
      <c r="J12">
        <f t="shared" si="4"/>
        <v>500.4</v>
      </c>
    </row>
    <row r="13" spans="1:10" ht="12.75">
      <c r="A13" s="16">
        <f t="shared" si="0"/>
        <v>500600</v>
      </c>
      <c r="B13" s="20">
        <f t="shared" si="1"/>
        <v>-2.9478230783899786</v>
      </c>
      <c r="C13">
        <f t="shared" si="2"/>
        <v>0.8888340586857776</v>
      </c>
      <c r="D13" s="19">
        <f t="shared" si="3"/>
        <v>1.125069398756604</v>
      </c>
      <c r="J13">
        <f t="shared" si="4"/>
        <v>500.6</v>
      </c>
    </row>
    <row r="14" spans="1:10" ht="12.75">
      <c r="A14" s="16">
        <f t="shared" si="0"/>
        <v>500800</v>
      </c>
      <c r="B14" s="20">
        <f t="shared" si="1"/>
        <v>-2.526705495762839</v>
      </c>
      <c r="C14">
        <f t="shared" si="2"/>
        <v>0.9039102062144088</v>
      </c>
      <c r="D14" s="19">
        <f t="shared" si="3"/>
        <v>1.1063045788453003</v>
      </c>
      <c r="J14">
        <f t="shared" si="4"/>
        <v>500.8</v>
      </c>
    </row>
    <row r="15" spans="1:10" ht="12.75">
      <c r="A15" s="16">
        <f t="shared" si="0"/>
        <v>501000</v>
      </c>
      <c r="B15" s="20">
        <f t="shared" si="1"/>
        <v>-2.105587913135699</v>
      </c>
      <c r="C15">
        <f t="shared" si="2"/>
        <v>0.9192486359231745</v>
      </c>
      <c r="D15" s="19">
        <f t="shared" si="3"/>
        <v>1.0878449648127346</v>
      </c>
      <c r="J15">
        <f t="shared" si="4"/>
        <v>501</v>
      </c>
    </row>
    <row r="16" spans="1:10" ht="12.75">
      <c r="A16" s="16">
        <f t="shared" si="0"/>
        <v>501200</v>
      </c>
      <c r="B16" s="20">
        <f t="shared" si="1"/>
        <v>-1.6844703305085593</v>
      </c>
      <c r="C16">
        <f t="shared" si="2"/>
        <v>0.9348529131864998</v>
      </c>
      <c r="D16" s="19">
        <f t="shared" si="3"/>
        <v>1.069686991284482</v>
      </c>
      <c r="J16">
        <f t="shared" si="4"/>
        <v>501.2</v>
      </c>
    </row>
    <row r="17" spans="1:10" ht="12.75">
      <c r="A17" s="16">
        <f t="shared" si="0"/>
        <v>501400</v>
      </c>
      <c r="B17" s="20">
        <f t="shared" si="1"/>
        <v>-1.2633527478814195</v>
      </c>
      <c r="C17">
        <f t="shared" si="2"/>
        <v>0.9507266096950375</v>
      </c>
      <c r="D17" s="19">
        <f t="shared" si="3"/>
        <v>1.0518270865698898</v>
      </c>
      <c r="J17">
        <f t="shared" si="4"/>
        <v>501.4</v>
      </c>
    </row>
    <row r="18" spans="1:10" ht="12.75">
      <c r="A18" s="16">
        <f t="shared" si="0"/>
        <v>501600</v>
      </c>
      <c r="B18" s="20">
        <f t="shared" si="1"/>
        <v>-0.8422351652542797</v>
      </c>
      <c r="C18">
        <f t="shared" si="2"/>
        <v>0.9668733022037076</v>
      </c>
      <c r="D18" s="19">
        <f t="shared" si="3"/>
        <v>1.0342616739140378</v>
      </c>
      <c r="J18">
        <f t="shared" si="4"/>
        <v>501.6</v>
      </c>
    </row>
    <row r="19" spans="1:10" ht="12.75">
      <c r="A19" s="16">
        <f>A20-200</f>
        <v>501800</v>
      </c>
      <c r="B19" s="20">
        <f t="shared" si="1"/>
        <v>-0.42111758262713983</v>
      </c>
      <c r="C19">
        <f t="shared" si="2"/>
        <v>0.9832965712722286</v>
      </c>
      <c r="D19" s="19">
        <f t="shared" si="3"/>
        <v>1.0169871727572077</v>
      </c>
      <c r="J19">
        <f t="shared" si="4"/>
        <v>501.8</v>
      </c>
    </row>
    <row r="20" spans="1:10" ht="12.75">
      <c r="A20" s="17">
        <f>Antenna!B3*1000</f>
        <v>502000</v>
      </c>
      <c r="B20" s="20">
        <f t="shared" si="1"/>
        <v>0</v>
      </c>
      <c r="C20">
        <f t="shared" si="2"/>
        <v>1</v>
      </c>
      <c r="D20" s="19">
        <f>1/C20</f>
        <v>1</v>
      </c>
      <c r="J20">
        <f t="shared" si="4"/>
        <v>502</v>
      </c>
    </row>
    <row r="21" spans="1:10" ht="12.75">
      <c r="A21" s="16">
        <f>A20+200</f>
        <v>502200</v>
      </c>
      <c r="B21" s="20">
        <f t="shared" si="1"/>
        <v>0.42111758262713983</v>
      </c>
      <c r="C21">
        <f t="shared" si="2"/>
        <v>1.0169871727572077</v>
      </c>
      <c r="D21" s="19">
        <f>C21</f>
        <v>1.0169871727572077</v>
      </c>
      <c r="J21">
        <f t="shared" si="4"/>
        <v>502.2</v>
      </c>
    </row>
    <row r="22" spans="1:10" ht="12.75">
      <c r="A22" s="16">
        <f aca="true" t="shared" si="5" ref="A22:A35">A21+200</f>
        <v>502400</v>
      </c>
      <c r="B22" s="20">
        <f t="shared" si="1"/>
        <v>0.8422351652542797</v>
      </c>
      <c r="C22">
        <f t="shared" si="2"/>
        <v>1.0342616739140378</v>
      </c>
      <c r="D22" s="19">
        <f aca="true" t="shared" si="6" ref="D22:D35">C22</f>
        <v>1.0342616739140378</v>
      </c>
      <c r="J22">
        <f t="shared" si="4"/>
        <v>502.4</v>
      </c>
    </row>
    <row r="23" spans="1:10" ht="12.75">
      <c r="A23" s="16">
        <f t="shared" si="5"/>
        <v>502600</v>
      </c>
      <c r="B23" s="20">
        <f t="shared" si="1"/>
        <v>1.2633527478814195</v>
      </c>
      <c r="C23">
        <f t="shared" si="2"/>
        <v>1.0518270865698898</v>
      </c>
      <c r="D23" s="19">
        <f t="shared" si="6"/>
        <v>1.0518270865698898</v>
      </c>
      <c r="J23">
        <f t="shared" si="4"/>
        <v>502.6</v>
      </c>
    </row>
    <row r="24" spans="1:10" ht="12.75">
      <c r="A24" s="16">
        <f t="shared" si="5"/>
        <v>502800</v>
      </c>
      <c r="B24" s="20">
        <f t="shared" si="1"/>
        <v>1.6844703305085593</v>
      </c>
      <c r="C24">
        <f t="shared" si="2"/>
        <v>1.069686991284482</v>
      </c>
      <c r="D24" s="19">
        <f t="shared" si="6"/>
        <v>1.069686991284482</v>
      </c>
      <c r="J24">
        <f t="shared" si="4"/>
        <v>502.8</v>
      </c>
    </row>
    <row r="25" spans="1:10" ht="12.75">
      <c r="A25" s="16">
        <f t="shared" si="5"/>
        <v>503000</v>
      </c>
      <c r="B25" s="20">
        <f t="shared" si="1"/>
        <v>2.105587913135699</v>
      </c>
      <c r="C25">
        <f t="shared" si="2"/>
        <v>1.0878449648127344</v>
      </c>
      <c r="D25" s="19">
        <f t="shared" si="6"/>
        <v>1.0878449648127344</v>
      </c>
      <c r="J25">
        <f t="shared" si="4"/>
        <v>503</v>
      </c>
    </row>
    <row r="26" spans="1:10" ht="12.75">
      <c r="A26" s="16">
        <f t="shared" si="5"/>
        <v>503200</v>
      </c>
      <c r="B26" s="20">
        <f t="shared" si="1"/>
        <v>2.526705495762839</v>
      </c>
      <c r="C26">
        <f t="shared" si="2"/>
        <v>1.1063045788453003</v>
      </c>
      <c r="D26" s="19">
        <f t="shared" si="6"/>
        <v>1.1063045788453003</v>
      </c>
      <c r="J26">
        <f t="shared" si="4"/>
        <v>503.2</v>
      </c>
    </row>
    <row r="27" spans="1:10" ht="12.75">
      <c r="A27" s="16">
        <f t="shared" si="5"/>
        <v>503400</v>
      </c>
      <c r="B27" s="20">
        <f t="shared" si="1"/>
        <v>2.9478230783899786</v>
      </c>
      <c r="C27">
        <f t="shared" si="2"/>
        <v>1.125069398756604</v>
      </c>
      <c r="D27" s="19">
        <f t="shared" si="6"/>
        <v>1.125069398756604</v>
      </c>
      <c r="J27">
        <f t="shared" si="4"/>
        <v>503.4</v>
      </c>
    </row>
    <row r="28" spans="1:10" ht="12.75">
      <c r="A28" s="16">
        <f t="shared" si="5"/>
        <v>503600</v>
      </c>
      <c r="B28" s="20">
        <f t="shared" si="1"/>
        <v>3.3689406610171186</v>
      </c>
      <c r="C28">
        <f t="shared" si="2"/>
        <v>1.144142982362218</v>
      </c>
      <c r="D28" s="19">
        <f t="shared" si="6"/>
        <v>1.144142982362218</v>
      </c>
      <c r="J28">
        <f t="shared" si="4"/>
        <v>503.6</v>
      </c>
    </row>
    <row r="29" spans="1:10" ht="12.75">
      <c r="A29" s="16">
        <f t="shared" si="5"/>
        <v>503800</v>
      </c>
      <c r="B29" s="20">
        <f t="shared" si="1"/>
        <v>3.7900582436442583</v>
      </c>
      <c r="C29">
        <f t="shared" si="2"/>
        <v>1.163528878687376</v>
      </c>
      <c r="D29" s="19">
        <f t="shared" si="6"/>
        <v>1.163528878687376</v>
      </c>
      <c r="J29">
        <f t="shared" si="4"/>
        <v>503.8</v>
      </c>
    </row>
    <row r="30" spans="1:10" ht="12.75">
      <c r="A30" s="16">
        <f t="shared" si="5"/>
        <v>504000</v>
      </c>
      <c r="B30" s="20">
        <f t="shared" si="1"/>
        <v>4.211175826271398</v>
      </c>
      <c r="C30">
        <f t="shared" si="2"/>
        <v>1.1832306267483965</v>
      </c>
      <c r="D30" s="19">
        <f t="shared" si="6"/>
        <v>1.1832306267483965</v>
      </c>
      <c r="J30">
        <f t="shared" si="4"/>
        <v>504</v>
      </c>
    </row>
    <row r="31" spans="1:10" ht="12.75">
      <c r="A31" s="16">
        <f t="shared" si="5"/>
        <v>504200</v>
      </c>
      <c r="B31" s="20">
        <f t="shared" si="1"/>
        <v>4.632293408898538</v>
      </c>
      <c r="C31">
        <f t="shared" si="2"/>
        <v>1.2032517543487364</v>
      </c>
      <c r="D31" s="19">
        <f t="shared" si="6"/>
        <v>1.2032517543487364</v>
      </c>
      <c r="J31">
        <f t="shared" si="4"/>
        <v>504.2</v>
      </c>
    </row>
    <row r="32" spans="1:10" ht="12.75">
      <c r="A32" s="16">
        <f t="shared" si="5"/>
        <v>504400</v>
      </c>
      <c r="B32" s="20">
        <f t="shared" si="1"/>
        <v>5.053410991525678</v>
      </c>
      <c r="C32">
        <f t="shared" si="2"/>
        <v>1.2235957768913621</v>
      </c>
      <c r="D32" s="19">
        <f t="shared" si="6"/>
        <v>1.2235957768913621</v>
      </c>
      <c r="J32">
        <f t="shared" si="4"/>
        <v>504.4</v>
      </c>
    </row>
    <row r="33" spans="1:10" ht="12.75">
      <c r="A33" s="16">
        <f t="shared" si="5"/>
        <v>504600</v>
      </c>
      <c r="B33" s="20">
        <f t="shared" si="1"/>
        <v>5.474528574152817</v>
      </c>
      <c r="C33">
        <f t="shared" si="2"/>
        <v>1.2442661962090633</v>
      </c>
      <c r="D33" s="19">
        <f t="shared" si="6"/>
        <v>1.2442661962090633</v>
      </c>
      <c r="J33">
        <f t="shared" si="4"/>
        <v>504.6</v>
      </c>
    </row>
    <row r="34" spans="1:10" ht="12.75">
      <c r="A34" s="16">
        <f t="shared" si="5"/>
        <v>504800</v>
      </c>
      <c r="B34" s="20">
        <f t="shared" si="1"/>
        <v>5.895646156779957</v>
      </c>
      <c r="C34">
        <f t="shared" si="2"/>
        <v>1.2652664994142897</v>
      </c>
      <c r="D34" s="19">
        <f t="shared" si="6"/>
        <v>1.2652664994142897</v>
      </c>
      <c r="J34">
        <f t="shared" si="4"/>
        <v>504.8</v>
      </c>
    </row>
    <row r="35" spans="1:10" ht="12.75">
      <c r="A35" s="16">
        <f t="shared" si="5"/>
        <v>505000</v>
      </c>
      <c r="B35" s="20">
        <f t="shared" si="1"/>
        <v>6.316763739407097</v>
      </c>
      <c r="C35">
        <f t="shared" si="2"/>
        <v>1.286600157770025</v>
      </c>
      <c r="D35" s="19">
        <f t="shared" si="6"/>
        <v>1.286600157770025</v>
      </c>
      <c r="J35">
        <f t="shared" si="4"/>
        <v>505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James D Cowburn</cp:lastModifiedBy>
  <dcterms:created xsi:type="dcterms:W3CDTF">1996-10-17T05:27:31Z</dcterms:created>
  <dcterms:modified xsi:type="dcterms:W3CDTF">2010-06-01T10:58:48Z</dcterms:modified>
  <cp:category/>
  <cp:version/>
  <cp:contentType/>
  <cp:contentStatus/>
</cp:coreProperties>
</file>